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3-6" sheetId="7" r:id="rId1"/>
    <sheet name="3-8" sheetId="1" r:id="rId2"/>
    <sheet name="3-17" sheetId="2" r:id="rId3"/>
    <sheet name="3-19" sheetId="3" r:id="rId4"/>
    <sheet name="3-20" sheetId="4" r:id="rId5"/>
    <sheet name="3-22" sheetId="5" r:id="rId6"/>
    <sheet name="3-28" sheetId="6" r:id="rId7"/>
    <sheet name="3-33" sheetId="9" r:id="rId8"/>
  </sheets>
  <calcPr calcId="152511"/>
</workbook>
</file>

<file path=xl/calcChain.xml><?xml version="1.0" encoding="utf-8"?>
<calcChain xmlns="http://schemas.openxmlformats.org/spreadsheetml/2006/main">
  <c r="G4" i="2" l="1"/>
  <c r="G12" i="5"/>
  <c r="D6" i="3"/>
  <c r="G13" i="5" l="1"/>
  <c r="G4" i="5"/>
  <c r="G7" i="6" l="1"/>
  <c r="G8" i="6"/>
  <c r="G9" i="6"/>
  <c r="G10" i="6"/>
  <c r="G11" i="6"/>
  <c r="G12" i="6"/>
  <c r="G6" i="6"/>
  <c r="G13" i="6" s="1"/>
  <c r="J11" i="6" s="1"/>
  <c r="F7" i="6"/>
  <c r="F8" i="6"/>
  <c r="F9" i="6"/>
  <c r="F10" i="6"/>
  <c r="F11" i="6"/>
  <c r="F12" i="6"/>
  <c r="F6" i="6"/>
  <c r="F13" i="6" s="1"/>
  <c r="J10" i="6" s="1"/>
  <c r="J7" i="6"/>
  <c r="J9" i="6" s="1"/>
  <c r="J8" i="6"/>
  <c r="C13" i="6"/>
  <c r="C9" i="7"/>
  <c r="C12" i="7"/>
  <c r="C11" i="7"/>
  <c r="C14" i="7" s="1"/>
  <c r="C16" i="7" l="1"/>
  <c r="C13" i="7"/>
  <c r="J13" i="6"/>
  <c r="J17" i="6" s="1"/>
  <c r="C10" i="5"/>
  <c r="C20" i="5"/>
  <c r="C17" i="5"/>
  <c r="D16" i="5"/>
  <c r="C18" i="5" s="1"/>
  <c r="C7" i="5"/>
  <c r="D6" i="5"/>
  <c r="C8" i="5" s="1"/>
  <c r="C13" i="4"/>
  <c r="C12" i="4"/>
  <c r="C9" i="4"/>
  <c r="C8" i="4"/>
  <c r="F13" i="3"/>
  <c r="F11" i="3"/>
  <c r="F7" i="3"/>
  <c r="F8" i="3"/>
  <c r="F9" i="3"/>
  <c r="F10" i="3"/>
  <c r="F6" i="3"/>
  <c r="D11" i="3"/>
  <c r="D7" i="3"/>
  <c r="D8" i="3"/>
  <c r="D9" i="3"/>
  <c r="D10" i="3"/>
  <c r="C11" i="3"/>
  <c r="E8" i="2"/>
  <c r="G7" i="2"/>
  <c r="G6" i="2"/>
  <c r="G5" i="2"/>
  <c r="F5" i="2"/>
  <c r="F7" i="2"/>
  <c r="F6" i="2"/>
  <c r="F8" i="2"/>
  <c r="F4" i="2"/>
  <c r="E5" i="2"/>
  <c r="E6" i="2"/>
  <c r="E7" i="2"/>
  <c r="E4" i="2"/>
  <c r="C8" i="2"/>
  <c r="C15" i="1"/>
  <c r="C10" i="1"/>
  <c r="C9" i="1"/>
  <c r="J14" i="6" l="1"/>
  <c r="J16" i="6" s="1"/>
  <c r="C22" i="5"/>
  <c r="C11" i="1"/>
  <c r="C13" i="1" s="1"/>
  <c r="G9" i="5" l="1"/>
  <c r="G8" i="5"/>
  <c r="G8" i="2"/>
  <c r="C12" i="1"/>
  <c r="C16" i="1" s="1"/>
</calcChain>
</file>

<file path=xl/sharedStrings.xml><?xml version="1.0" encoding="utf-8"?>
<sst xmlns="http://schemas.openxmlformats.org/spreadsheetml/2006/main" count="148" uniqueCount="98">
  <si>
    <t>V =</t>
  </si>
  <si>
    <t>P =</t>
  </si>
  <si>
    <t>T =</t>
  </si>
  <si>
    <t>W.ethane =</t>
  </si>
  <si>
    <t>Sp. Gr. =</t>
  </si>
  <si>
    <t>n. paraffin =</t>
  </si>
  <si>
    <t>n. methane =</t>
  </si>
  <si>
    <t>n. T =</t>
  </si>
  <si>
    <t>A.M.T =</t>
  </si>
  <si>
    <t>Y. paraffin =</t>
  </si>
  <si>
    <t>Y. methane =</t>
  </si>
  <si>
    <t>M.wt. paraffin =</t>
  </si>
  <si>
    <t>Component</t>
  </si>
  <si>
    <t>Composition, weight fraction</t>
  </si>
  <si>
    <t>Methane</t>
  </si>
  <si>
    <t>Ethane</t>
  </si>
  <si>
    <t>Propane</t>
  </si>
  <si>
    <t>n-Butane</t>
  </si>
  <si>
    <t>M. wt.</t>
  </si>
  <si>
    <t>Yi</t>
  </si>
  <si>
    <t>wt</t>
  </si>
  <si>
    <t>i-Butane</t>
  </si>
  <si>
    <t>Partial pressure, Psia</t>
  </si>
  <si>
    <t>Yi x M. wt.</t>
  </si>
  <si>
    <t>psig</t>
  </si>
  <si>
    <t>° F</t>
  </si>
  <si>
    <r>
      <t>ft</t>
    </r>
    <r>
      <rPr>
        <vertAlign val="superscript"/>
        <sz val="11"/>
        <color theme="1"/>
        <rFont val="Calibri"/>
        <family val="2"/>
        <scheme val="minor"/>
      </rPr>
      <t>3</t>
    </r>
  </si>
  <si>
    <t>Tc</t>
  </si>
  <si>
    <t>Pc</t>
  </si>
  <si>
    <t>psia</t>
  </si>
  <si>
    <t>Tr =</t>
  </si>
  <si>
    <t>Pr =</t>
  </si>
  <si>
    <t>Z =</t>
  </si>
  <si>
    <t>n =</t>
  </si>
  <si>
    <t>wt. =</t>
  </si>
  <si>
    <t>lbm</t>
  </si>
  <si>
    <t>P1 =</t>
  </si>
  <si>
    <t>T1 =</t>
  </si>
  <si>
    <t>P2 =</t>
  </si>
  <si>
    <t>T2 =</t>
  </si>
  <si>
    <t>Tf =</t>
  </si>
  <si>
    <t>Pc1 =</t>
  </si>
  <si>
    <t>Tc1 =</t>
  </si>
  <si>
    <t>Pr1 =</t>
  </si>
  <si>
    <t>Tr1 =</t>
  </si>
  <si>
    <t>Z1 =</t>
  </si>
  <si>
    <t>Pc2 =</t>
  </si>
  <si>
    <t>Tc2 =</t>
  </si>
  <si>
    <t>Pr2 =</t>
  </si>
  <si>
    <t>Z2 =</t>
  </si>
  <si>
    <t>Tr2 =</t>
  </si>
  <si>
    <t>° R</t>
  </si>
  <si>
    <t>n1 =</t>
  </si>
  <si>
    <t>n2 =</t>
  </si>
  <si>
    <t>moles</t>
  </si>
  <si>
    <t>n.t. =</t>
  </si>
  <si>
    <t>Butane</t>
  </si>
  <si>
    <t>Wc =</t>
  </si>
  <si>
    <t>Wc + Wo2 =</t>
  </si>
  <si>
    <t>Wc + WH2O =</t>
  </si>
  <si>
    <t>gm</t>
  </si>
  <si>
    <t>WO2 =</t>
  </si>
  <si>
    <t>WH2O =</t>
  </si>
  <si>
    <t>VO2 =</t>
  </si>
  <si>
    <t>nO2 =</t>
  </si>
  <si>
    <t>gm-mole</t>
  </si>
  <si>
    <t>° K</t>
  </si>
  <si>
    <t>R =</t>
  </si>
  <si>
    <t>atm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</si>
  <si>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</si>
  <si>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t>Composition, mole fraction</t>
  </si>
  <si>
    <t>Hydrogen Sulfide</t>
  </si>
  <si>
    <t>Carbone Dioxide</t>
  </si>
  <si>
    <t>Nitogen</t>
  </si>
  <si>
    <t>B =</t>
  </si>
  <si>
    <t>A =</t>
  </si>
  <si>
    <t>ƹ =</t>
  </si>
  <si>
    <t>Tci</t>
  </si>
  <si>
    <t>Pci</t>
  </si>
  <si>
    <t>Yi x Tci</t>
  </si>
  <si>
    <t>Yi x Pci</t>
  </si>
  <si>
    <t>Tpc =</t>
  </si>
  <si>
    <t>Ppc =</t>
  </si>
  <si>
    <t>Tpc' =</t>
  </si>
  <si>
    <t>Ppc' =</t>
  </si>
  <si>
    <t>Ppr =</t>
  </si>
  <si>
    <t>Tpr =</t>
  </si>
  <si>
    <t>assumed</t>
  </si>
  <si>
    <t>Final pressure =</t>
  </si>
  <si>
    <t>Composition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</si>
  <si>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methane</t>
    </r>
    <r>
      <rPr>
        <b/>
        <sz val="11"/>
        <color theme="1"/>
        <rFont val="Calibri"/>
        <family val="2"/>
        <scheme val="minor"/>
      </rPr>
      <t xml:space="preserve"> =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</si>
  <si>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ethane</t>
    </r>
    <r>
      <rPr>
        <b/>
        <sz val="11"/>
        <color theme="1"/>
        <rFont val="Calibri"/>
        <family val="2"/>
        <scheme val="minor"/>
      </rPr>
      <t xml:space="preserve"> =</t>
    </r>
  </si>
  <si>
    <r>
      <t>y</t>
    </r>
    <r>
      <rPr>
        <b/>
        <vertAlign val="subscript"/>
        <sz val="11"/>
        <color theme="1"/>
        <rFont val="Calibri"/>
        <family val="2"/>
        <scheme val="minor"/>
      </rPr>
      <t>methane</t>
    </r>
    <r>
      <rPr>
        <b/>
        <sz val="11"/>
        <color theme="1"/>
        <rFont val="Calibri"/>
        <family val="2"/>
        <scheme val="minor"/>
      </rPr>
      <t xml:space="preserve"> =</t>
    </r>
  </si>
  <si>
    <r>
      <t>y</t>
    </r>
    <r>
      <rPr>
        <b/>
        <vertAlign val="subscript"/>
        <sz val="11"/>
        <color theme="1"/>
        <rFont val="Calibri"/>
        <family val="2"/>
        <scheme val="minor"/>
      </rPr>
      <t>ethane</t>
    </r>
    <r>
      <rPr>
        <b/>
        <sz val="11"/>
        <color theme="1"/>
        <rFont val="Calibri"/>
        <family val="2"/>
        <scheme val="minor"/>
      </rPr>
      <t xml:space="preserve"> =</t>
    </r>
  </si>
  <si>
    <r>
      <t>cm</t>
    </r>
    <r>
      <rPr>
        <b/>
        <vertAlign val="superscript"/>
        <sz val="12"/>
        <color rgb="FF00B050"/>
        <rFont val="Calibri"/>
        <family val="2"/>
        <scheme val="minor"/>
      </rPr>
      <t>3</t>
    </r>
    <r>
      <rPr>
        <b/>
        <sz val="12"/>
        <color rgb="FF00B050"/>
        <rFont val="Calibri"/>
        <family val="2"/>
        <scheme val="minor"/>
      </rPr>
      <t xml:space="preserve"> atm K</t>
    </r>
    <r>
      <rPr>
        <b/>
        <vertAlign val="superscript"/>
        <sz val="12"/>
        <color rgb="FF00B050"/>
        <rFont val="Calibri"/>
        <family val="2"/>
        <scheme val="minor"/>
      </rPr>
      <t>-1</t>
    </r>
    <r>
      <rPr>
        <b/>
        <sz val="12"/>
        <color rgb="FF00B050"/>
        <rFont val="Calibri"/>
        <family val="2"/>
        <scheme val="minor"/>
      </rPr>
      <t xml:space="preserve">  mol</t>
    </r>
    <r>
      <rPr>
        <b/>
        <vertAlign val="superscript"/>
        <sz val="12"/>
        <color rgb="FF00B050"/>
        <rFont val="Calibri"/>
        <family val="2"/>
        <scheme val="minor"/>
      </rPr>
      <t>-1</t>
    </r>
  </si>
  <si>
    <t>To be discussed more next time</t>
  </si>
  <si>
    <t>n = wi / M. wt</t>
  </si>
  <si>
    <t>A.Mwt.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</si>
</sst>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1A0EB2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perscript"/>
      <sz val="12"/>
      <color rgb="FF00B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60"/>
      <color rgb="FF1A0EB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6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3" fillId="2" borderId="19" xfId="0" applyFont="1" applyFill="1" applyBorder="1" applyAlignment="1">
      <alignment horizontal="right" vertical="center"/>
    </xf>
    <xf numFmtId="0" fontId="3" fillId="2" borderId="21" xfId="0" applyFont="1" applyFill="1" applyBorder="1" applyAlignment="1">
      <alignment horizontal="right" vertical="center"/>
    </xf>
    <xf numFmtId="165" fontId="4" fillId="2" borderId="17" xfId="0" applyNumberFormat="1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right" vertical="center"/>
    </xf>
    <xf numFmtId="165" fontId="4" fillId="2" borderId="18" xfId="0" applyNumberFormat="1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2" borderId="16" xfId="0" applyFont="1" applyFill="1" applyBorder="1" applyAlignment="1">
      <alignment vertical="center"/>
    </xf>
    <xf numFmtId="0" fontId="6" fillId="2" borderId="15" xfId="0" applyFont="1" applyFill="1" applyBorder="1"/>
    <xf numFmtId="0" fontId="8" fillId="2" borderId="15" xfId="0" applyFont="1" applyFill="1" applyBorder="1"/>
    <xf numFmtId="0" fontId="6" fillId="2" borderId="10" xfId="0" applyFont="1" applyFill="1" applyBorder="1" applyAlignment="1">
      <alignment horizontal="right"/>
    </xf>
    <xf numFmtId="0" fontId="9" fillId="0" borderId="0" xfId="0" applyFont="1"/>
    <xf numFmtId="0" fontId="6" fillId="2" borderId="10" xfId="0" applyFont="1" applyFill="1" applyBorder="1"/>
    <xf numFmtId="0" fontId="3" fillId="3" borderId="15" xfId="0" applyFont="1" applyFill="1" applyBorder="1"/>
    <xf numFmtId="166" fontId="11" fillId="2" borderId="9" xfId="0" applyNumberFormat="1" applyFont="1" applyFill="1" applyBorder="1" applyAlignment="1">
      <alignment horizontal="center" vertical="center"/>
    </xf>
    <xf numFmtId="166" fontId="11" fillId="2" borderId="14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/>
    </xf>
    <xf numFmtId="0" fontId="3" fillId="4" borderId="11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2" fontId="11" fillId="2" borderId="12" xfId="0" applyNumberFormat="1" applyFont="1" applyFill="1" applyBorder="1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6" fillId="2" borderId="15" xfId="0" applyFont="1" applyFill="1" applyBorder="1" applyAlignment="1">
      <alignment horizontal="right"/>
    </xf>
    <xf numFmtId="0" fontId="11" fillId="2" borderId="15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164" fontId="0" fillId="0" borderId="0" xfId="0" applyNumberFormat="1" applyAlignment="1">
      <alignment horizontal="left"/>
    </xf>
    <xf numFmtId="0" fontId="12" fillId="0" borderId="15" xfId="0" applyFont="1" applyBorder="1" applyAlignment="1">
      <alignment horizontal="center" vertical="center" wrapText="1"/>
    </xf>
    <xf numFmtId="2" fontId="0" fillId="0" borderId="0" xfId="0" applyNumberFormat="1" applyAlignment="1">
      <alignment horizontal="left" vertical="center"/>
    </xf>
    <xf numFmtId="166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6" fontId="11" fillId="2" borderId="22" xfId="0" applyNumberFormat="1" applyFont="1" applyFill="1" applyBorder="1" applyAlignment="1">
      <alignment horizontal="left"/>
    </xf>
    <xf numFmtId="165" fontId="0" fillId="0" borderId="5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left" vertical="center"/>
    </xf>
    <xf numFmtId="164" fontId="4" fillId="2" borderId="18" xfId="0" applyNumberFormat="1" applyFont="1" applyFill="1" applyBorder="1" applyAlignment="1">
      <alignment horizontal="left" vertical="center"/>
    </xf>
    <xf numFmtId="0" fontId="7" fillId="2" borderId="15" xfId="0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1A0E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15</xdr:row>
      <xdr:rowOff>76200</xdr:rowOff>
    </xdr:from>
    <xdr:to>
      <xdr:col>3</xdr:col>
      <xdr:colOff>542925</xdr:colOff>
      <xdr:row>15</xdr:row>
      <xdr:rowOff>133350</xdr:rowOff>
    </xdr:to>
    <xdr:sp macro="" textlink="">
      <xdr:nvSpPr>
        <xdr:cNvPr id="2" name="Right Arrow 1"/>
        <xdr:cNvSpPr/>
      </xdr:nvSpPr>
      <xdr:spPr>
        <a:xfrm>
          <a:off x="2305050" y="2933700"/>
          <a:ext cx="466725" cy="57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8</xdr:row>
      <xdr:rowOff>66675</xdr:rowOff>
    </xdr:from>
    <xdr:to>
      <xdr:col>4</xdr:col>
      <xdr:colOff>457200</xdr:colOff>
      <xdr:row>10</xdr:row>
      <xdr:rowOff>114300</xdr:rowOff>
    </xdr:to>
    <xdr:sp macro="" textlink="">
      <xdr:nvSpPr>
        <xdr:cNvPr id="3" name="Up Arrow 2"/>
        <xdr:cNvSpPr/>
      </xdr:nvSpPr>
      <xdr:spPr>
        <a:xfrm>
          <a:off x="3171825" y="1876425"/>
          <a:ext cx="228600" cy="428625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57149</xdr:colOff>
      <xdr:row>10</xdr:row>
      <xdr:rowOff>19050</xdr:rowOff>
    </xdr:from>
    <xdr:to>
      <xdr:col>6</xdr:col>
      <xdr:colOff>581024</xdr:colOff>
      <xdr:row>11</xdr:row>
      <xdr:rowOff>19050</xdr:rowOff>
    </xdr:to>
    <xdr:sp macro="" textlink="">
      <xdr:nvSpPr>
        <xdr:cNvPr id="2" name="Left Arrow 1"/>
        <xdr:cNvSpPr/>
      </xdr:nvSpPr>
      <xdr:spPr>
        <a:xfrm>
          <a:off x="4257674" y="2162175"/>
          <a:ext cx="523875" cy="2000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</xdr:row>
      <xdr:rowOff>47625</xdr:rowOff>
    </xdr:from>
    <xdr:to>
      <xdr:col>3</xdr:col>
      <xdr:colOff>561975</xdr:colOff>
      <xdr:row>1</xdr:row>
      <xdr:rowOff>171450</xdr:rowOff>
    </xdr:to>
    <xdr:sp macro="" textlink="">
      <xdr:nvSpPr>
        <xdr:cNvPr id="2" name="Left Arrow 1"/>
        <xdr:cNvSpPr/>
      </xdr:nvSpPr>
      <xdr:spPr>
        <a:xfrm>
          <a:off x="1895475" y="238125"/>
          <a:ext cx="495300" cy="1238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</xdr:colOff>
      <xdr:row>4</xdr:row>
      <xdr:rowOff>0</xdr:rowOff>
    </xdr:from>
    <xdr:to>
      <xdr:col>16</xdr:col>
      <xdr:colOff>600074</xdr:colOff>
      <xdr:row>4</xdr:row>
      <xdr:rowOff>381000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771525"/>
          <a:ext cx="3638549" cy="38100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11</xdr:col>
      <xdr:colOff>9526</xdr:colOff>
      <xdr:row>6</xdr:row>
      <xdr:rowOff>19050</xdr:rowOff>
    </xdr:from>
    <xdr:to>
      <xdr:col>15</xdr:col>
      <xdr:colOff>0</xdr:colOff>
      <xdr:row>12</xdr:row>
      <xdr:rowOff>1120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1" y="1371600"/>
          <a:ext cx="2428874" cy="1134595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6"/>
  <sheetViews>
    <sheetView tabSelected="1" workbookViewId="0">
      <selection activeCell="I1" sqref="I1"/>
    </sheetView>
  </sheetViews>
  <sheetFormatPr defaultRowHeight="15" x14ac:dyDescent="0.25"/>
  <cols>
    <col min="2" max="2" width="12.5703125" bestFit="1" customWidth="1"/>
    <col min="4" max="4" width="18.7109375" bestFit="1" customWidth="1"/>
  </cols>
  <sheetData>
    <row r="3" spans="2:6" x14ac:dyDescent="0.25">
      <c r="B3" s="42" t="s">
        <v>57</v>
      </c>
      <c r="C3" s="14">
        <v>80</v>
      </c>
      <c r="D3" t="s">
        <v>60</v>
      </c>
    </row>
    <row r="4" spans="2:6" x14ac:dyDescent="0.25">
      <c r="B4" s="42" t="s">
        <v>58</v>
      </c>
      <c r="C4" s="14">
        <v>81.242000000000004</v>
      </c>
      <c r="D4" t="s">
        <v>60</v>
      </c>
    </row>
    <row r="5" spans="2:6" x14ac:dyDescent="0.25">
      <c r="B5" s="42" t="s">
        <v>59</v>
      </c>
      <c r="C5" s="14">
        <v>1000</v>
      </c>
      <c r="D5" t="s">
        <v>60</v>
      </c>
    </row>
    <row r="6" spans="2:6" x14ac:dyDescent="0.25">
      <c r="B6" s="42" t="s">
        <v>1</v>
      </c>
      <c r="C6" s="14">
        <v>14.7</v>
      </c>
      <c r="D6" t="s">
        <v>29</v>
      </c>
    </row>
    <row r="7" spans="2:6" x14ac:dyDescent="0.25">
      <c r="B7" s="42" t="s">
        <v>1</v>
      </c>
      <c r="C7" s="14">
        <v>1</v>
      </c>
      <c r="D7" t="s">
        <v>68</v>
      </c>
    </row>
    <row r="8" spans="2:6" x14ac:dyDescent="0.25">
      <c r="B8" s="42" t="s">
        <v>2</v>
      </c>
      <c r="C8" s="14">
        <v>60</v>
      </c>
      <c r="D8" s="13" t="s">
        <v>25</v>
      </c>
    </row>
    <row r="9" spans="2:6" x14ac:dyDescent="0.25">
      <c r="B9" s="42" t="s">
        <v>2</v>
      </c>
      <c r="C9" s="69">
        <f>(C8-32)/1.8+273</f>
        <v>288.55555555555554</v>
      </c>
      <c r="D9" s="13" t="s">
        <v>66</v>
      </c>
      <c r="F9" s="13"/>
    </row>
    <row r="10" spans="2:6" x14ac:dyDescent="0.25">
      <c r="C10" s="14"/>
    </row>
    <row r="11" spans="2:6" x14ac:dyDescent="0.25">
      <c r="B11" s="42" t="s">
        <v>61</v>
      </c>
      <c r="C11" s="14">
        <f>C4-C3</f>
        <v>1.2420000000000044</v>
      </c>
      <c r="D11" t="s">
        <v>60</v>
      </c>
    </row>
    <row r="12" spans="2:6" x14ac:dyDescent="0.25">
      <c r="B12" s="42" t="s">
        <v>62</v>
      </c>
      <c r="C12" s="14">
        <f>C5-C3</f>
        <v>920</v>
      </c>
      <c r="D12" t="s">
        <v>60</v>
      </c>
    </row>
    <row r="13" spans="2:6" ht="17.25" x14ac:dyDescent="0.25">
      <c r="B13" s="42" t="s">
        <v>63</v>
      </c>
      <c r="C13" s="14">
        <f>C12/1</f>
        <v>920</v>
      </c>
      <c r="D13" t="s">
        <v>69</v>
      </c>
    </row>
    <row r="14" spans="2:6" x14ac:dyDescent="0.25">
      <c r="B14" s="42" t="s">
        <v>64</v>
      </c>
      <c r="C14" s="70">
        <f>C11/32</f>
        <v>3.8812500000000139E-2</v>
      </c>
      <c r="D14" t="s">
        <v>65</v>
      </c>
    </row>
    <row r="15" spans="2:6" ht="15.75" thickBot="1" x14ac:dyDescent="0.3">
      <c r="C15" s="14"/>
    </row>
    <row r="16" spans="2:6" ht="18.75" thickBot="1" x14ac:dyDescent="0.3">
      <c r="B16" s="47" t="s">
        <v>67</v>
      </c>
      <c r="C16" s="83">
        <f>C7*C12/(C14*C9)</f>
        <v>82.146065973558947</v>
      </c>
      <c r="D16" s="82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6"/>
  <sheetViews>
    <sheetView workbookViewId="0">
      <selection activeCell="I2" sqref="I2"/>
    </sheetView>
  </sheetViews>
  <sheetFormatPr defaultRowHeight="15" x14ac:dyDescent="0.25"/>
  <cols>
    <col min="2" max="2" width="16.85546875" bestFit="1" customWidth="1"/>
  </cols>
  <sheetData>
    <row r="3" spans="2:5" x14ac:dyDescent="0.25">
      <c r="B3" s="42" t="s">
        <v>0</v>
      </c>
      <c r="C3" s="43">
        <v>20</v>
      </c>
    </row>
    <row r="4" spans="2:5" x14ac:dyDescent="0.25">
      <c r="B4" s="42" t="s">
        <v>1</v>
      </c>
      <c r="C4" s="43">
        <v>200</v>
      </c>
    </row>
    <row r="5" spans="2:5" x14ac:dyDescent="0.25">
      <c r="B5" s="42" t="s">
        <v>2</v>
      </c>
      <c r="C5" s="43">
        <v>100</v>
      </c>
    </row>
    <row r="6" spans="2:5" x14ac:dyDescent="0.25">
      <c r="B6" s="42" t="s">
        <v>3</v>
      </c>
      <c r="C6" s="43">
        <v>10</v>
      </c>
    </row>
    <row r="7" spans="2:5" x14ac:dyDescent="0.25">
      <c r="B7" s="42" t="s">
        <v>4</v>
      </c>
      <c r="C7" s="43">
        <v>1.68</v>
      </c>
    </row>
    <row r="8" spans="2:5" x14ac:dyDescent="0.25">
      <c r="C8" s="43"/>
    </row>
    <row r="9" spans="2:5" x14ac:dyDescent="0.25">
      <c r="B9" s="42" t="s">
        <v>5</v>
      </c>
      <c r="C9" s="33">
        <f>C4*C3/((C5+460)*10.73)</f>
        <v>0.66569032086273461</v>
      </c>
    </row>
    <row r="10" spans="2:5" x14ac:dyDescent="0.25">
      <c r="B10" s="42" t="s">
        <v>6</v>
      </c>
      <c r="C10" s="33">
        <f>C6/30</f>
        <v>0.33333333333333331</v>
      </c>
    </row>
    <row r="11" spans="2:5" x14ac:dyDescent="0.25">
      <c r="B11" s="42" t="s">
        <v>7</v>
      </c>
      <c r="C11" s="33">
        <f>C9+C10</f>
        <v>0.99902365419606798</v>
      </c>
    </row>
    <row r="12" spans="2:5" x14ac:dyDescent="0.25">
      <c r="B12" s="42" t="s">
        <v>9</v>
      </c>
      <c r="C12" s="33">
        <f>C9/C11</f>
        <v>0.66634090000444224</v>
      </c>
    </row>
    <row r="13" spans="2:5" x14ac:dyDescent="0.25">
      <c r="B13" s="42" t="s">
        <v>10</v>
      </c>
      <c r="C13" s="33">
        <f>C10/C11</f>
        <v>0.33365909999555771</v>
      </c>
    </row>
    <row r="15" spans="2:5" ht="15.75" thickBot="1" x14ac:dyDescent="0.3">
      <c r="B15" s="42" t="s">
        <v>8</v>
      </c>
      <c r="C15" s="43">
        <f>C7*29</f>
        <v>48.72</v>
      </c>
    </row>
    <row r="16" spans="2:5" ht="16.5" thickBot="1" x14ac:dyDescent="0.3">
      <c r="B16" s="49" t="s">
        <v>11</v>
      </c>
      <c r="C16" s="61">
        <f>(C15-C13*30)/C12</f>
        <v>58.093727999999999</v>
      </c>
      <c r="E16" s="46" t="s">
        <v>56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workbookViewId="0">
      <selection activeCell="I2" sqref="I2"/>
    </sheetView>
  </sheetViews>
  <sheetFormatPr defaultRowHeight="15" x14ac:dyDescent="0.25"/>
  <cols>
    <col min="2" max="2" width="11.42578125" bestFit="1" customWidth="1"/>
    <col min="3" max="3" width="14.42578125" customWidth="1"/>
    <col min="6" max="6" width="13.42578125" customWidth="1"/>
  </cols>
  <sheetData>
    <row r="2" spans="2:7" ht="15.75" thickBot="1" x14ac:dyDescent="0.3"/>
    <row r="3" spans="2:7" ht="36" customHeight="1" thickBot="1" x14ac:dyDescent="0.3">
      <c r="B3" s="53" t="s">
        <v>12</v>
      </c>
      <c r="C3" s="54" t="s">
        <v>13</v>
      </c>
      <c r="D3" s="55" t="s">
        <v>18</v>
      </c>
      <c r="E3" s="55" t="s">
        <v>20</v>
      </c>
      <c r="F3" s="55" t="s">
        <v>96</v>
      </c>
      <c r="G3" s="56" t="s">
        <v>19</v>
      </c>
    </row>
    <row r="4" spans="2:7" ht="15.75" x14ac:dyDescent="0.25">
      <c r="B4" s="8" t="s">
        <v>14</v>
      </c>
      <c r="C4" s="29">
        <v>0.88</v>
      </c>
      <c r="D4" s="9">
        <v>16</v>
      </c>
      <c r="E4" s="9">
        <f>C4*100</f>
        <v>88</v>
      </c>
      <c r="F4" s="73">
        <f>E4/D4</f>
        <v>5.5</v>
      </c>
      <c r="G4" s="51">
        <f>F4/$F$8</f>
        <v>0.94841768217421607</v>
      </c>
    </row>
    <row r="5" spans="2:7" ht="15.75" x14ac:dyDescent="0.25">
      <c r="B5" s="3" t="s">
        <v>15</v>
      </c>
      <c r="C5" s="15">
        <v>4.2999999999999997E-2</v>
      </c>
      <c r="D5" s="2">
        <v>30</v>
      </c>
      <c r="E5" s="9">
        <f t="shared" ref="E5:E7" si="0">C5*100</f>
        <v>4.3</v>
      </c>
      <c r="F5" s="73">
        <f>E5/D5</f>
        <v>0.14333333333333334</v>
      </c>
      <c r="G5" s="51">
        <f t="shared" ref="G5:G7" si="1">F5/$F$8</f>
        <v>2.471633959605533E-2</v>
      </c>
    </row>
    <row r="6" spans="2:7" ht="15.75" x14ac:dyDescent="0.25">
      <c r="B6" s="3" t="s">
        <v>16</v>
      </c>
      <c r="C6" s="15">
        <v>4.2000000000000003E-2</v>
      </c>
      <c r="D6" s="2">
        <v>44</v>
      </c>
      <c r="E6" s="9">
        <f t="shared" si="0"/>
        <v>4.2</v>
      </c>
      <c r="F6" s="73">
        <f t="shared" ref="F6:F7" si="2">E6/D6</f>
        <v>9.5454545454545459E-2</v>
      </c>
      <c r="G6" s="51">
        <f t="shared" si="1"/>
        <v>1.6460141591453339E-2</v>
      </c>
    </row>
    <row r="7" spans="2:7" ht="16.5" thickBot="1" x14ac:dyDescent="0.3">
      <c r="B7" s="5" t="s">
        <v>17</v>
      </c>
      <c r="C7" s="16">
        <v>3.5000000000000003E-2</v>
      </c>
      <c r="D7" s="6">
        <v>58</v>
      </c>
      <c r="E7" s="11">
        <f t="shared" si="0"/>
        <v>3.5000000000000004</v>
      </c>
      <c r="F7" s="74">
        <f t="shared" si="2"/>
        <v>6.0344827586206906E-2</v>
      </c>
      <c r="G7" s="52">
        <f t="shared" si="1"/>
        <v>1.0405836638275099E-2</v>
      </c>
    </row>
    <row r="8" spans="2:7" x14ac:dyDescent="0.25">
      <c r="C8" s="71">
        <f>SUM(C4:C7)</f>
        <v>1</v>
      </c>
      <c r="D8" s="1"/>
      <c r="E8" s="1">
        <f>SUM(E4:E7)</f>
        <v>100</v>
      </c>
      <c r="F8" s="72">
        <f>SUM(F4:F7)</f>
        <v>5.7991327063740865</v>
      </c>
      <c r="G8" s="72">
        <f>SUM(G4:G7)</f>
        <v>0.99999999999999989</v>
      </c>
    </row>
    <row r="11" spans="2:7" ht="15.75" thickBot="1" x14ac:dyDescent="0.3"/>
    <row r="12" spans="2:7" ht="15.75" thickBot="1" x14ac:dyDescent="0.3">
      <c r="E12" s="50" t="s">
        <v>87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3"/>
  <sheetViews>
    <sheetView workbookViewId="0">
      <selection activeCell="I2" sqref="I2"/>
    </sheetView>
  </sheetViews>
  <sheetFormatPr defaultRowHeight="15" x14ac:dyDescent="0.25"/>
  <cols>
    <col min="2" max="2" width="11.42578125" bestFit="1" customWidth="1"/>
    <col min="3" max="3" width="15.5703125" bestFit="1" customWidth="1"/>
    <col min="4" max="4" width="6" customWidth="1"/>
    <col min="5" max="5" width="8.85546875" bestFit="1" customWidth="1"/>
    <col min="6" max="6" width="11.28515625" customWidth="1"/>
  </cols>
  <sheetData>
    <row r="4" spans="2:8" ht="15.75" thickBot="1" x14ac:dyDescent="0.3"/>
    <row r="5" spans="2:8" ht="32.25" customHeight="1" thickBot="1" x14ac:dyDescent="0.3">
      <c r="B5" s="57" t="s">
        <v>12</v>
      </c>
      <c r="C5" s="58" t="s">
        <v>22</v>
      </c>
      <c r="D5" s="59" t="s">
        <v>19</v>
      </c>
      <c r="E5" s="59" t="s">
        <v>18</v>
      </c>
      <c r="F5" s="60" t="s">
        <v>23</v>
      </c>
    </row>
    <row r="6" spans="2:8" x14ac:dyDescent="0.25">
      <c r="B6" s="8" t="s">
        <v>14</v>
      </c>
      <c r="C6" s="31">
        <v>17.8</v>
      </c>
      <c r="D6" s="30">
        <f>C6/$C$11</f>
        <v>0.89</v>
      </c>
      <c r="E6" s="9">
        <v>16</v>
      </c>
      <c r="F6" s="10">
        <f>D6*E6</f>
        <v>14.24</v>
      </c>
    </row>
    <row r="7" spans="2:8" x14ac:dyDescent="0.25">
      <c r="B7" s="3" t="s">
        <v>15</v>
      </c>
      <c r="C7" s="32">
        <v>1</v>
      </c>
      <c r="D7" s="27">
        <f t="shared" ref="D7:D10" si="0">C7/$C$11</f>
        <v>0.05</v>
      </c>
      <c r="E7" s="2">
        <v>30</v>
      </c>
      <c r="F7" s="4">
        <f t="shared" ref="F7:F10" si="1">D7*E7</f>
        <v>1.5</v>
      </c>
    </row>
    <row r="8" spans="2:8" x14ac:dyDescent="0.25">
      <c r="B8" s="3" t="s">
        <v>16</v>
      </c>
      <c r="C8" s="32">
        <v>0.4</v>
      </c>
      <c r="D8" s="27">
        <f t="shared" si="0"/>
        <v>0.02</v>
      </c>
      <c r="E8" s="2">
        <v>44</v>
      </c>
      <c r="F8" s="4">
        <f t="shared" si="1"/>
        <v>0.88</v>
      </c>
    </row>
    <row r="9" spans="2:8" x14ac:dyDescent="0.25">
      <c r="B9" s="3" t="s">
        <v>21</v>
      </c>
      <c r="C9" s="32">
        <v>0.2</v>
      </c>
      <c r="D9" s="27">
        <f t="shared" si="0"/>
        <v>0.01</v>
      </c>
      <c r="E9" s="2">
        <v>58</v>
      </c>
      <c r="F9" s="4">
        <f t="shared" si="1"/>
        <v>0.57999999999999996</v>
      </c>
    </row>
    <row r="10" spans="2:8" ht="15.75" thickBot="1" x14ac:dyDescent="0.3">
      <c r="B10" s="5" t="s">
        <v>17</v>
      </c>
      <c r="C10" s="76">
        <v>0.6</v>
      </c>
      <c r="D10" s="28">
        <f t="shared" si="0"/>
        <v>0.03</v>
      </c>
      <c r="E10" s="12">
        <v>58</v>
      </c>
      <c r="F10" s="7">
        <f t="shared" si="1"/>
        <v>1.74</v>
      </c>
    </row>
    <row r="11" spans="2:8" ht="15.75" thickBot="1" x14ac:dyDescent="0.3">
      <c r="C11" s="77">
        <f>SUM(C6:C10)</f>
        <v>20</v>
      </c>
      <c r="D11" s="78">
        <f>SUM(D6:D10)</f>
        <v>1</v>
      </c>
      <c r="E11" s="1"/>
      <c r="F11" s="79">
        <f>SUM(F6:F10)</f>
        <v>18.939999999999998</v>
      </c>
      <c r="H11" t="s">
        <v>97</v>
      </c>
    </row>
    <row r="12" spans="2:8" ht="15.75" thickBot="1" x14ac:dyDescent="0.3"/>
    <row r="13" spans="2:8" ht="16.5" thickBot="1" x14ac:dyDescent="0.3">
      <c r="E13" s="45" t="s">
        <v>4</v>
      </c>
      <c r="F13" s="75">
        <f>F11/29</f>
        <v>0.65310344827586198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3"/>
  <sheetViews>
    <sheetView workbookViewId="0">
      <selection activeCell="I2" sqref="I2"/>
    </sheetView>
  </sheetViews>
  <sheetFormatPr defaultRowHeight="15" x14ac:dyDescent="0.25"/>
  <cols>
    <col min="3" max="3" width="7.5703125" customWidth="1"/>
  </cols>
  <sheetData>
    <row r="2" spans="2:4" x14ac:dyDescent="0.25">
      <c r="B2" s="42" t="s">
        <v>1</v>
      </c>
      <c r="C2" s="43">
        <v>1600</v>
      </c>
      <c r="D2" t="s">
        <v>24</v>
      </c>
    </row>
    <row r="3" spans="2:4" x14ac:dyDescent="0.25">
      <c r="B3" s="42" t="s">
        <v>2</v>
      </c>
      <c r="C3" s="43">
        <v>90</v>
      </c>
      <c r="D3" s="13" t="s">
        <v>25</v>
      </c>
    </row>
    <row r="4" spans="2:4" ht="17.25" x14ac:dyDescent="0.25">
      <c r="B4" s="42" t="s">
        <v>0</v>
      </c>
      <c r="C4" s="43">
        <v>2.4</v>
      </c>
      <c r="D4" t="s">
        <v>26</v>
      </c>
    </row>
    <row r="5" spans="2:4" x14ac:dyDescent="0.25">
      <c r="B5" s="42"/>
      <c r="C5" s="43"/>
    </row>
    <row r="6" spans="2:4" x14ac:dyDescent="0.25">
      <c r="B6" s="42" t="s">
        <v>27</v>
      </c>
      <c r="C6" s="43">
        <v>89.92</v>
      </c>
      <c r="D6" s="13" t="s">
        <v>25</v>
      </c>
    </row>
    <row r="7" spans="2:4" x14ac:dyDescent="0.25">
      <c r="B7" s="42" t="s">
        <v>28</v>
      </c>
      <c r="C7" s="43">
        <v>706.5</v>
      </c>
      <c r="D7" t="s">
        <v>29</v>
      </c>
    </row>
    <row r="8" spans="2:4" x14ac:dyDescent="0.25">
      <c r="B8" s="42" t="s">
        <v>30</v>
      </c>
      <c r="C8" s="62">
        <f>(C3+460)/(C6+460)</f>
        <v>1.0001454757055572</v>
      </c>
    </row>
    <row r="9" spans="2:4" x14ac:dyDescent="0.25">
      <c r="B9" s="42" t="s">
        <v>31</v>
      </c>
      <c r="C9" s="62">
        <f>(C2+14.7)/C7</f>
        <v>2.2854918612880395</v>
      </c>
    </row>
    <row r="10" spans="2:4" x14ac:dyDescent="0.25">
      <c r="B10" s="42" t="s">
        <v>32</v>
      </c>
      <c r="C10" s="43">
        <v>0.32</v>
      </c>
    </row>
    <row r="12" spans="2:4" ht="15.75" thickBot="1" x14ac:dyDescent="0.3">
      <c r="B12" s="42" t="s">
        <v>33</v>
      </c>
      <c r="C12" s="62">
        <f>(C2+14.7)*C4/(C10*10.73*(C3+460))</f>
        <v>2.0520630348216553</v>
      </c>
    </row>
    <row r="13" spans="2:4" ht="16.5" thickBot="1" x14ac:dyDescent="0.3">
      <c r="B13" s="47" t="s">
        <v>34</v>
      </c>
      <c r="C13" s="61">
        <f>C12*30</f>
        <v>61.561891044649656</v>
      </c>
      <c r="D13" s="48" t="s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I2" sqref="I2"/>
    </sheetView>
  </sheetViews>
  <sheetFormatPr defaultRowHeight="15" x14ac:dyDescent="0.25"/>
  <cols>
    <col min="5" max="5" width="10.140625" customWidth="1"/>
    <col min="6" max="6" width="15" bestFit="1" customWidth="1"/>
    <col min="7" max="7" width="7.140625" customWidth="1"/>
  </cols>
  <sheetData>
    <row r="1" spans="2:8" ht="15.75" thickBot="1" x14ac:dyDescent="0.3"/>
    <row r="2" spans="2:8" ht="15.75" thickBot="1" x14ac:dyDescent="0.3">
      <c r="B2" s="42" t="s">
        <v>0</v>
      </c>
      <c r="C2" s="14">
        <v>1</v>
      </c>
      <c r="E2" s="50" t="s">
        <v>87</v>
      </c>
    </row>
    <row r="3" spans="2:8" ht="15.75" thickBot="1" x14ac:dyDescent="0.3">
      <c r="B3" s="42" t="s">
        <v>36</v>
      </c>
      <c r="C3" s="43">
        <v>1000</v>
      </c>
      <c r="D3" t="s">
        <v>29</v>
      </c>
    </row>
    <row r="4" spans="2:8" ht="15.75" thickBot="1" x14ac:dyDescent="0.3">
      <c r="B4" s="42" t="s">
        <v>37</v>
      </c>
      <c r="C4" s="43">
        <v>140</v>
      </c>
      <c r="D4" s="13" t="s">
        <v>25</v>
      </c>
      <c r="F4" s="40" t="s">
        <v>88</v>
      </c>
      <c r="G4" s="41">
        <f>(C3+C12)/2</f>
        <v>750</v>
      </c>
      <c r="H4" t="s">
        <v>29</v>
      </c>
    </row>
    <row r="5" spans="2:8" ht="21.75" customHeight="1" x14ac:dyDescent="0.25">
      <c r="B5" s="42" t="s">
        <v>41</v>
      </c>
      <c r="C5" s="43">
        <v>667.8</v>
      </c>
      <c r="D5" s="13"/>
    </row>
    <row r="6" spans="2:8" ht="15.75" thickBot="1" x14ac:dyDescent="0.3">
      <c r="B6" s="42" t="s">
        <v>42</v>
      </c>
      <c r="C6" s="43">
        <v>-116.68</v>
      </c>
      <c r="D6" s="63">
        <f>C6+460</f>
        <v>343.32</v>
      </c>
      <c r="E6" s="13" t="s">
        <v>51</v>
      </c>
    </row>
    <row r="7" spans="2:8" ht="15.75" thickBot="1" x14ac:dyDescent="0.3">
      <c r="B7" s="42" t="s">
        <v>43</v>
      </c>
      <c r="C7" s="43">
        <f>C3/C5</f>
        <v>1.497454327643007</v>
      </c>
      <c r="D7" s="13"/>
      <c r="F7" s="44" t="s">
        <v>89</v>
      </c>
    </row>
    <row r="8" spans="2:8" ht="18.75" thickBot="1" x14ac:dyDescent="0.3">
      <c r="B8" s="42" t="s">
        <v>44</v>
      </c>
      <c r="C8" s="43">
        <f>(C4+460)/D6</f>
        <v>1.7476406850751487</v>
      </c>
      <c r="D8" s="13"/>
      <c r="F8" s="35" t="s">
        <v>92</v>
      </c>
      <c r="G8" s="80">
        <f>C10/C22</f>
        <v>0.62903225806451613</v>
      </c>
    </row>
    <row r="9" spans="2:8" ht="18.75" thickBot="1" x14ac:dyDescent="0.3">
      <c r="B9" s="42" t="s">
        <v>45</v>
      </c>
      <c r="C9" s="43">
        <v>0.92</v>
      </c>
      <c r="D9" s="13"/>
      <c r="F9" s="36" t="s">
        <v>93</v>
      </c>
      <c r="G9" s="81">
        <f>C20/C22</f>
        <v>0.37096774193548387</v>
      </c>
    </row>
    <row r="10" spans="2:8" x14ac:dyDescent="0.25">
      <c r="B10" s="42" t="s">
        <v>52</v>
      </c>
      <c r="C10" s="43">
        <f>C3*C2/(C9*10.73*(C4+460))</f>
        <v>0.16883450166808486</v>
      </c>
      <c r="D10" s="13" t="s">
        <v>54</v>
      </c>
      <c r="F10" s="34"/>
      <c r="G10" s="34"/>
    </row>
    <row r="11" spans="2:8" ht="15.75" thickBot="1" x14ac:dyDescent="0.3">
      <c r="D11" s="13"/>
      <c r="F11" s="34"/>
      <c r="G11" s="34"/>
    </row>
    <row r="12" spans="2:8" ht="18" x14ac:dyDescent="0.25">
      <c r="B12" s="42" t="s">
        <v>38</v>
      </c>
      <c r="C12" s="43">
        <v>500</v>
      </c>
      <c r="D12" t="s">
        <v>29</v>
      </c>
      <c r="F12" s="35" t="s">
        <v>90</v>
      </c>
      <c r="G12" s="37">
        <f>G8*G4</f>
        <v>471.77419354838707</v>
      </c>
      <c r="H12" t="s">
        <v>29</v>
      </c>
    </row>
    <row r="13" spans="2:8" ht="18.75" thickBot="1" x14ac:dyDescent="0.3">
      <c r="B13" s="42" t="s">
        <v>39</v>
      </c>
      <c r="C13" s="43">
        <v>140</v>
      </c>
      <c r="D13" s="13" t="s">
        <v>25</v>
      </c>
      <c r="F13" s="38" t="s">
        <v>91</v>
      </c>
      <c r="G13" s="39">
        <f>G9*G4</f>
        <v>278.22580645161293</v>
      </c>
      <c r="H13" t="s">
        <v>29</v>
      </c>
    </row>
    <row r="14" spans="2:8" x14ac:dyDescent="0.25">
      <c r="B14" s="42" t="s">
        <v>40</v>
      </c>
      <c r="C14" s="43">
        <v>140</v>
      </c>
      <c r="D14" s="13" t="s">
        <v>25</v>
      </c>
    </row>
    <row r="15" spans="2:8" x14ac:dyDescent="0.25">
      <c r="B15" s="42" t="s">
        <v>46</v>
      </c>
      <c r="C15" s="43">
        <v>707.8</v>
      </c>
    </row>
    <row r="16" spans="2:8" x14ac:dyDescent="0.25">
      <c r="B16" s="42" t="s">
        <v>47</v>
      </c>
      <c r="C16" s="43">
        <v>90.1</v>
      </c>
      <c r="D16" s="43">
        <f>C16+460</f>
        <v>550.1</v>
      </c>
      <c r="E16" s="13" t="s">
        <v>51</v>
      </c>
    </row>
    <row r="17" spans="2:4" x14ac:dyDescent="0.25">
      <c r="B17" s="42" t="s">
        <v>48</v>
      </c>
      <c r="C17" s="62">
        <f>C12/C15</f>
        <v>0.70641424131110486</v>
      </c>
    </row>
    <row r="18" spans="2:4" x14ac:dyDescent="0.25">
      <c r="B18" s="42" t="s">
        <v>50</v>
      </c>
      <c r="C18" s="62">
        <f>(C13+460)/D16</f>
        <v>1.0907107798582076</v>
      </c>
    </row>
    <row r="19" spans="2:4" x14ac:dyDescent="0.25">
      <c r="B19" s="42" t="s">
        <v>49</v>
      </c>
      <c r="C19" s="43">
        <v>0.78</v>
      </c>
    </row>
    <row r="20" spans="2:4" x14ac:dyDescent="0.25">
      <c r="B20" s="42" t="s">
        <v>53</v>
      </c>
      <c r="C20" s="33">
        <f>C12*C2/(C19*10.73*(C13+460))</f>
        <v>9.956906508630646E-2</v>
      </c>
      <c r="D20" s="13" t="s">
        <v>54</v>
      </c>
    </row>
    <row r="22" spans="2:4" x14ac:dyDescent="0.25">
      <c r="B22" s="42" t="s">
        <v>55</v>
      </c>
      <c r="C22" s="33">
        <f>C10+C20</f>
        <v>0.26840356675439131</v>
      </c>
      <c r="D22" s="13" t="s">
        <v>54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workbookViewId="0">
      <selection activeCell="H2" sqref="H2"/>
    </sheetView>
  </sheetViews>
  <sheetFormatPr defaultRowHeight="15" x14ac:dyDescent="0.25"/>
  <cols>
    <col min="1" max="1" width="5.42578125" customWidth="1"/>
    <col min="2" max="2" width="16.42578125" bestFit="1" customWidth="1"/>
    <col min="3" max="3" width="14.5703125" customWidth="1"/>
    <col min="4" max="4" width="8.7109375" customWidth="1"/>
    <col min="5" max="5" width="9.7109375" customWidth="1"/>
    <col min="6" max="6" width="9.28515625" customWidth="1"/>
    <col min="7" max="7" width="10" customWidth="1"/>
    <col min="10" max="10" width="7.5703125" customWidth="1"/>
  </cols>
  <sheetData>
    <row r="2" spans="2:11" x14ac:dyDescent="0.25">
      <c r="I2" s="42" t="s">
        <v>1</v>
      </c>
      <c r="J2" s="43">
        <v>5420</v>
      </c>
      <c r="K2" t="s">
        <v>24</v>
      </c>
    </row>
    <row r="3" spans="2:11" x14ac:dyDescent="0.25">
      <c r="I3" s="42" t="s">
        <v>2</v>
      </c>
      <c r="J3" s="43">
        <v>257</v>
      </c>
      <c r="K3" s="13" t="s">
        <v>25</v>
      </c>
    </row>
    <row r="4" spans="2:11" ht="15.75" thickBot="1" x14ac:dyDescent="0.3">
      <c r="I4" s="42"/>
      <c r="J4" s="43"/>
    </row>
    <row r="5" spans="2:11" ht="30.75" thickBot="1" x14ac:dyDescent="0.3">
      <c r="B5" s="24" t="s">
        <v>12</v>
      </c>
      <c r="C5" s="25" t="s">
        <v>70</v>
      </c>
      <c r="D5" s="25" t="s">
        <v>77</v>
      </c>
      <c r="E5" s="25" t="s">
        <v>78</v>
      </c>
      <c r="F5" s="25" t="s">
        <v>79</v>
      </c>
      <c r="G5" s="26" t="s">
        <v>80</v>
      </c>
      <c r="I5" s="42"/>
      <c r="J5" s="43"/>
    </row>
    <row r="6" spans="2:11" x14ac:dyDescent="0.25">
      <c r="B6" s="8" t="s">
        <v>71</v>
      </c>
      <c r="C6" s="22">
        <v>0.1</v>
      </c>
      <c r="D6" s="22">
        <v>672.4</v>
      </c>
      <c r="E6" s="22">
        <v>1300</v>
      </c>
      <c r="F6" s="22">
        <f>C6*D6</f>
        <v>67.239999999999995</v>
      </c>
      <c r="G6" s="23">
        <f>C6*E6</f>
        <v>130</v>
      </c>
      <c r="I6" s="42"/>
      <c r="J6" s="43"/>
    </row>
    <row r="7" spans="2:11" x14ac:dyDescent="0.25">
      <c r="B7" s="3" t="s">
        <v>72</v>
      </c>
      <c r="C7" s="18">
        <v>0.05</v>
      </c>
      <c r="D7" s="18">
        <v>547.9</v>
      </c>
      <c r="E7" s="18">
        <v>1710</v>
      </c>
      <c r="F7" s="18">
        <f t="shared" ref="F7:F12" si="0">C7*D7</f>
        <v>27.395</v>
      </c>
      <c r="G7" s="19">
        <f t="shared" ref="G7:G12" si="1">C7*E7</f>
        <v>85.5</v>
      </c>
      <c r="I7" s="42" t="s">
        <v>75</v>
      </c>
      <c r="J7" s="67">
        <f>C7+C6</f>
        <v>0.15000000000000002</v>
      </c>
    </row>
    <row r="8" spans="2:11" x14ac:dyDescent="0.25">
      <c r="B8" s="3" t="s">
        <v>73</v>
      </c>
      <c r="C8" s="18">
        <v>2.1000000000000001E-2</v>
      </c>
      <c r="D8" s="18">
        <v>227.5</v>
      </c>
      <c r="E8" s="18">
        <v>493.1</v>
      </c>
      <c r="F8" s="18">
        <f t="shared" si="0"/>
        <v>4.7774999999999999</v>
      </c>
      <c r="G8" s="19">
        <f t="shared" si="1"/>
        <v>10.355100000000002</v>
      </c>
      <c r="I8" s="42" t="s">
        <v>74</v>
      </c>
      <c r="J8" s="67">
        <f>C6</f>
        <v>0.1</v>
      </c>
    </row>
    <row r="9" spans="2:11" x14ac:dyDescent="0.25">
      <c r="B9" s="3" t="s">
        <v>14</v>
      </c>
      <c r="C9" s="15">
        <v>0.70299999999999996</v>
      </c>
      <c r="D9" s="15">
        <v>343.4</v>
      </c>
      <c r="E9" s="15">
        <v>666.4</v>
      </c>
      <c r="F9" s="18">
        <f t="shared" si="0"/>
        <v>241.41019999999997</v>
      </c>
      <c r="G9" s="19">
        <f t="shared" si="1"/>
        <v>468.47919999999993</v>
      </c>
      <c r="I9" s="66" t="s">
        <v>76</v>
      </c>
      <c r="J9" s="62">
        <f>120*(J7^0.9-J7^1.6)+15*(J8^0.5-J8^4)</f>
        <v>20.735442672327267</v>
      </c>
      <c r="K9" s="13" t="s">
        <v>51</v>
      </c>
    </row>
    <row r="10" spans="2:11" x14ac:dyDescent="0.25">
      <c r="B10" s="3" t="s">
        <v>15</v>
      </c>
      <c r="C10" s="15">
        <v>6.2E-2</v>
      </c>
      <c r="D10" s="15">
        <v>549.9</v>
      </c>
      <c r="E10" s="15">
        <v>706.5</v>
      </c>
      <c r="F10" s="18">
        <f t="shared" si="0"/>
        <v>34.093800000000002</v>
      </c>
      <c r="G10" s="19">
        <f t="shared" si="1"/>
        <v>43.802999999999997</v>
      </c>
      <c r="I10" s="66" t="s">
        <v>81</v>
      </c>
      <c r="J10" s="62">
        <f>F13</f>
        <v>420.2333999999999</v>
      </c>
      <c r="K10" s="13" t="s">
        <v>51</v>
      </c>
    </row>
    <row r="11" spans="2:11" x14ac:dyDescent="0.25">
      <c r="B11" s="3" t="s">
        <v>16</v>
      </c>
      <c r="C11" s="15">
        <v>3.6999999999999998E-2</v>
      </c>
      <c r="D11" s="15">
        <v>666.1</v>
      </c>
      <c r="E11" s="15">
        <v>616</v>
      </c>
      <c r="F11" s="18">
        <f t="shared" si="0"/>
        <v>24.645699999999998</v>
      </c>
      <c r="G11" s="19">
        <f t="shared" si="1"/>
        <v>22.791999999999998</v>
      </c>
      <c r="I11" s="66" t="s">
        <v>82</v>
      </c>
      <c r="J11" s="62">
        <f>G13</f>
        <v>775.79550000000006</v>
      </c>
      <c r="K11" t="s">
        <v>29</v>
      </c>
    </row>
    <row r="12" spans="2:11" ht="15.75" thickBot="1" x14ac:dyDescent="0.3">
      <c r="B12" s="5" t="s">
        <v>17</v>
      </c>
      <c r="C12" s="16">
        <v>2.7E-2</v>
      </c>
      <c r="D12" s="16">
        <v>765.6</v>
      </c>
      <c r="E12" s="16">
        <v>550.6</v>
      </c>
      <c r="F12" s="20">
        <f t="shared" si="0"/>
        <v>20.671199999999999</v>
      </c>
      <c r="G12" s="21">
        <f t="shared" si="1"/>
        <v>14.866200000000001</v>
      </c>
      <c r="I12" s="42"/>
      <c r="J12" s="43"/>
    </row>
    <row r="13" spans="2:11" x14ac:dyDescent="0.25">
      <c r="C13" s="17">
        <f>SUM(C6:C12)</f>
        <v>1</v>
      </c>
      <c r="D13" s="17"/>
      <c r="E13" s="17"/>
      <c r="F13" s="17">
        <f>SUM(F6:F12)</f>
        <v>420.2333999999999</v>
      </c>
      <c r="G13" s="17">
        <f>SUM(G6:G12)</f>
        <v>775.79550000000006</v>
      </c>
      <c r="I13" s="42" t="s">
        <v>83</v>
      </c>
      <c r="J13" s="62">
        <f>J10-J9</f>
        <v>399.49795732767262</v>
      </c>
      <c r="K13" s="13" t="s">
        <v>51</v>
      </c>
    </row>
    <row r="14" spans="2:11" x14ac:dyDescent="0.25">
      <c r="I14" s="42" t="s">
        <v>84</v>
      </c>
      <c r="J14" s="62">
        <f>J11*J13/(J10+J8*(1-J8)*J9)</f>
        <v>734.25496023606013</v>
      </c>
      <c r="K14" s="13" t="s">
        <v>29</v>
      </c>
    </row>
    <row r="15" spans="2:11" x14ac:dyDescent="0.25">
      <c r="I15" s="42"/>
      <c r="J15" s="43"/>
    </row>
    <row r="16" spans="2:11" x14ac:dyDescent="0.25">
      <c r="I16" s="42" t="s">
        <v>85</v>
      </c>
      <c r="J16" s="62">
        <f>(J2+14.7)/J14</f>
        <v>7.4016524154671899</v>
      </c>
    </row>
    <row r="17" spans="9:10" x14ac:dyDescent="0.25">
      <c r="I17" s="42" t="s">
        <v>86</v>
      </c>
      <c r="J17" s="62">
        <f>(J3+460)/J13</f>
        <v>1.7947526059861896</v>
      </c>
    </row>
    <row r="18" spans="9:10" ht="15.75" thickBot="1" x14ac:dyDescent="0.3"/>
    <row r="19" spans="9:10" ht="16.5" thickBot="1" x14ac:dyDescent="0.3">
      <c r="I19" s="64" t="s">
        <v>32</v>
      </c>
      <c r="J19" s="65">
        <v>1.07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F6"/>
  <sheetViews>
    <sheetView workbookViewId="0">
      <selection activeCell="E2" sqref="E2"/>
    </sheetView>
  </sheetViews>
  <sheetFormatPr defaultRowHeight="15" x14ac:dyDescent="0.25"/>
  <cols>
    <col min="6" max="6" width="86.7109375" customWidth="1"/>
  </cols>
  <sheetData>
    <row r="5" spans="6:6" ht="15.75" thickBot="1" x14ac:dyDescent="0.3"/>
    <row r="6" spans="6:6" ht="153.75" thickBot="1" x14ac:dyDescent="0.3">
      <c r="F6" s="68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3-6</vt:lpstr>
      <vt:lpstr>3-8</vt:lpstr>
      <vt:lpstr>3-17</vt:lpstr>
      <vt:lpstr>3-19</vt:lpstr>
      <vt:lpstr>3-20</vt:lpstr>
      <vt:lpstr>3-22</vt:lpstr>
      <vt:lpstr>3-28</vt:lpstr>
      <vt:lpstr>3-33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PGE362_HomeWork2_Solution</dc:title>
  <dc:subject>PGE362</dc:subject>
  <dc:creator/>
  <cp:lastModifiedBy/>
  <dcterms:created xsi:type="dcterms:W3CDTF">2006-09-16T00:00:00Z</dcterms:created>
  <dcterms:modified xsi:type="dcterms:W3CDTF">2014-11-13T14:48:07Z</dcterms:modified>
</cp:coreProperties>
</file>